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" windowWidth="20955" windowHeight="13275" tabRatio="704" activeTab="0"/>
  </bookViews>
  <sheets>
    <sheet name="John 2018 Income" sheetId="1" r:id="rId1"/>
    <sheet name="Mary 2018 Tax Earnings" sheetId="2" r:id="rId2"/>
    <sheet name="2018 Est Income Tax Rollup" sheetId="3" r:id="rId3"/>
  </sheets>
  <definedNames/>
  <calcPr fullCalcOnLoad="1"/>
</workbook>
</file>

<file path=xl/sharedStrings.xml><?xml version="1.0" encoding="utf-8"?>
<sst xmlns="http://schemas.openxmlformats.org/spreadsheetml/2006/main" count="133" uniqueCount="92">
  <si>
    <t>Totals (est)</t>
  </si>
  <si>
    <t>401K Savings</t>
  </si>
  <si>
    <t>Taxable Wages</t>
  </si>
  <si>
    <t>Social Security Tax</t>
  </si>
  <si>
    <t>Medicare Tax</t>
  </si>
  <si>
    <t>Tax Calculation:</t>
  </si>
  <si>
    <t>Federal</t>
  </si>
  <si>
    <t>Rates:</t>
  </si>
  <si>
    <t>Income:</t>
  </si>
  <si>
    <t>Medicare</t>
  </si>
  <si>
    <t>Social Security</t>
  </si>
  <si>
    <t>AGI ...</t>
  </si>
  <si>
    <t>Deduction Phaseout</t>
  </si>
  <si>
    <t>Net Deductions</t>
  </si>
  <si>
    <t>Taxable Income...</t>
  </si>
  <si>
    <t>Jan-Dec</t>
  </si>
  <si>
    <t>Employee Wages</t>
  </si>
  <si>
    <t>Wage Fed Income Tax</t>
  </si>
  <si>
    <t>Wage Social Security Tax</t>
  </si>
  <si>
    <t>Wage Medicare Tax</t>
  </si>
  <si>
    <t>Cons. Social Security Tax</t>
  </si>
  <si>
    <t>Cons. Medicare Tax</t>
  </si>
  <si>
    <t>Personal Exemptions</t>
  </si>
  <si>
    <t>Exemption Phaseout</t>
  </si>
  <si>
    <t>Income Tax:</t>
  </si>
  <si>
    <t>Direct Withholding</t>
  </si>
  <si>
    <t xml:space="preserve">  Business Expenses</t>
  </si>
  <si>
    <t>(Est)</t>
  </si>
  <si>
    <t>(Act)</t>
  </si>
  <si>
    <t>Sch A Deductions:</t>
  </si>
  <si>
    <t>Self Employment Tax</t>
  </si>
  <si>
    <t>Jan-Mar</t>
  </si>
  <si>
    <t>Apr-May</t>
  </si>
  <si>
    <t>Jun-Aug</t>
  </si>
  <si>
    <t>Sep-Dec</t>
  </si>
  <si>
    <t>401K / SEP Savings</t>
  </si>
  <si>
    <t>Total Sch A Deductions or Std</t>
  </si>
  <si>
    <t xml:space="preserve">  Taxable Dividends</t>
  </si>
  <si>
    <t>Social Security Income</t>
  </si>
  <si>
    <t>Net Annual Tax Due…</t>
  </si>
  <si>
    <t>Consulting Earnings (Sch C)</t>
  </si>
  <si>
    <t>Added tax due …</t>
  </si>
  <si>
    <t>Net Business earnings …</t>
  </si>
  <si>
    <t>Estimated tax payments YTD</t>
  </si>
  <si>
    <t xml:space="preserve">  Wages</t>
  </si>
  <si>
    <t xml:space="preserve">  Net business income</t>
  </si>
  <si>
    <t xml:space="preserve"> </t>
  </si>
  <si>
    <t>Wages</t>
  </si>
  <si>
    <t>Std Deduction</t>
  </si>
  <si>
    <t xml:space="preserve">  Taxable Social Security (85%)</t>
  </si>
  <si>
    <t xml:space="preserve">  Taxable Cap gains / Losses</t>
  </si>
  <si>
    <t xml:space="preserve">  Taxable Interest</t>
  </si>
  <si>
    <t>Fed Income Tax Withheld</t>
  </si>
  <si>
    <t>(As of 3-31-2018)</t>
  </si>
  <si>
    <t>Jan-Dec 2018</t>
  </si>
  <si>
    <t>IRA RMD Withdrawal - 2018</t>
  </si>
  <si>
    <t>Ded. Medical Expenses - 7.5% agi</t>
  </si>
  <si>
    <t xml:space="preserve">  IRA RMDs Taken - 2018</t>
  </si>
  <si>
    <t>John and Mary Smith</t>
  </si>
  <si>
    <t>2018 Tax Estimate Rollup</t>
  </si>
  <si>
    <t>John (est)</t>
  </si>
  <si>
    <t>Mary (est)</t>
  </si>
  <si>
    <t>John Total Earnings</t>
  </si>
  <si>
    <t>Annuity Drawdowns - taxable</t>
  </si>
  <si>
    <t>RMD Qual Annuity</t>
  </si>
  <si>
    <t>Pension</t>
  </si>
  <si>
    <t>RMD (IRA)</t>
  </si>
  <si>
    <t>Gross Wages (Fitness monitor)</t>
  </si>
  <si>
    <t xml:space="preserve">  Annuity Drawdowns - taxable</t>
  </si>
  <si>
    <t xml:space="preserve">  Taxable ST Cap gains</t>
  </si>
  <si>
    <t>Annuity Taxable Drawdowns</t>
  </si>
  <si>
    <t>Annuity Taxable Drawdowns or RMD</t>
  </si>
  <si>
    <t>Wage Fed Income Tax Withheld</t>
  </si>
  <si>
    <t>(As of 03-31-2018)</t>
  </si>
  <si>
    <t>Home Business Gross Income</t>
  </si>
  <si>
    <t xml:space="preserve">  401K Savings</t>
  </si>
  <si>
    <t>Mary Total Income</t>
  </si>
  <si>
    <t xml:space="preserve">  Pensions - His/Hers</t>
  </si>
  <si>
    <t>Reqd Q1 Qtrly Est Tax  …</t>
  </si>
  <si>
    <t>Pensions</t>
  </si>
  <si>
    <t>IRA RMDs Taken - 2018</t>
  </si>
  <si>
    <t>Mortgage Interest (1st million)</t>
  </si>
  <si>
    <t>State &amp; Local Tax (max 10,000)</t>
  </si>
  <si>
    <t>Charitable Contributions</t>
  </si>
  <si>
    <t>Total Deductions</t>
  </si>
  <si>
    <t>Effective Rate:</t>
  </si>
  <si>
    <t>Total 2018 Tax Due …</t>
  </si>
  <si>
    <t>SET (Net)</t>
  </si>
  <si>
    <t>Selft Employment Tax</t>
  </si>
  <si>
    <t>Tax Estimator for 2018</t>
  </si>
  <si>
    <t>by Tom Burt</t>
  </si>
  <si>
    <t>USE AT YOUR OWN RISK!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</si>
</sst>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#,##0.000"/>
    <numFmt numFmtId="168" formatCode="#,##0.0000"/>
    <numFmt numFmtId="169" formatCode="0.000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#,##0.00000"/>
    <numFmt numFmtId="174" formatCode="#,##0.000000"/>
    <numFmt numFmtId="175" formatCode="0.0000%"/>
    <numFmt numFmtId="176" formatCode="#,##0.0"/>
    <numFmt numFmtId="177" formatCode="0.00_);[Red]\(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" fontId="0" fillId="0" borderId="0" xfId="0" applyNumberFormat="1" applyAlignment="1">
      <alignment/>
    </xf>
    <xf numFmtId="22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49" fontId="0" fillId="0" borderId="0" xfId="0" applyNumberFormat="1" applyAlignment="1" quotePrefix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0" fontId="0" fillId="0" borderId="0" xfId="0" applyNumberFormat="1" applyAlignment="1">
      <alignment/>
    </xf>
    <xf numFmtId="0" fontId="0" fillId="0" borderId="0" xfId="0" applyAlignment="1" quotePrefix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75" fontId="0" fillId="0" borderId="0" xfId="57" applyNumberFormat="1" applyAlignment="1">
      <alignment/>
    </xf>
    <xf numFmtId="175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10" fontId="0" fillId="0" borderId="0" xfId="57" applyNumberFormat="1" applyAlignment="1">
      <alignment horizontal="right"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7" fontId="0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left" indent="1"/>
    </xf>
    <xf numFmtId="4" fontId="1" fillId="0" borderId="0" xfId="0" applyNumberFormat="1" applyFont="1" applyAlignment="1">
      <alignment/>
    </xf>
    <xf numFmtId="43" fontId="0" fillId="0" borderId="0" xfId="42" applyFont="1" applyFill="1" applyBorder="1" applyAlignment="1">
      <alignment/>
    </xf>
    <xf numFmtId="0" fontId="1" fillId="3" borderId="0" xfId="0" applyFont="1" applyFill="1" applyAlignment="1">
      <alignment/>
    </xf>
    <xf numFmtId="4" fontId="1" fillId="3" borderId="0" xfId="0" applyNumberFormat="1" applyFont="1" applyFill="1" applyAlignment="1">
      <alignment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4" fontId="0" fillId="0" borderId="0" xfId="42" applyNumberFormat="1" applyFont="1" applyAlignment="1">
      <alignment/>
    </xf>
    <xf numFmtId="2" fontId="0" fillId="0" borderId="0" xfId="42" applyNumberFormat="1" applyFont="1" applyAlignment="1">
      <alignment/>
    </xf>
    <xf numFmtId="4" fontId="0" fillId="2" borderId="10" xfId="0" applyNumberForma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0" fillId="2" borderId="11" xfId="0" applyNumberFormat="1" applyFill="1" applyBorder="1" applyAlignment="1">
      <alignment/>
    </xf>
    <xf numFmtId="4" fontId="1" fillId="10" borderId="0" xfId="0" applyNumberFormat="1" applyFont="1" applyFill="1" applyAlignment="1">
      <alignment/>
    </xf>
    <xf numFmtId="0" fontId="1" fillId="10" borderId="0" xfId="0" applyFont="1" applyFill="1" applyAlignment="1">
      <alignment/>
    </xf>
    <xf numFmtId="4" fontId="41" fillId="2" borderId="11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ill="1" applyAlignment="1">
      <alignment/>
    </xf>
    <xf numFmtId="172" fontId="0" fillId="0" borderId="0" xfId="42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2" borderId="10" xfId="0" applyNumberFormat="1" applyFill="1" applyBorder="1" applyAlignment="1">
      <alignment/>
    </xf>
    <xf numFmtId="4" fontId="0" fillId="0" borderId="0" xfId="0" applyNumberFormat="1" applyFont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4" fontId="1" fillId="33" borderId="0" xfId="0" applyNumberFormat="1" applyFont="1" applyFill="1" applyAlignment="1">
      <alignment/>
    </xf>
    <xf numFmtId="0" fontId="0" fillId="0" borderId="0" xfId="0" applyFont="1" applyAlignment="1">
      <alignment horizontal="left" indent="1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Border="1" applyAlignment="1">
      <alignment/>
    </xf>
    <xf numFmtId="164" fontId="1" fillId="0" borderId="0" xfId="57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3" fillId="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88" zoomScaleNormal="88" zoomScalePageLayoutView="0" workbookViewId="0" topLeftCell="A1">
      <selection activeCell="A31" sqref="A31"/>
    </sheetView>
  </sheetViews>
  <sheetFormatPr defaultColWidth="9.140625" defaultRowHeight="12.75"/>
  <cols>
    <col min="1" max="1" width="29.57421875" style="0" customWidth="1"/>
    <col min="2" max="5" width="13.7109375" style="1" customWidth="1"/>
    <col min="6" max="6" width="5.7109375" style="1" customWidth="1"/>
    <col min="7" max="11" width="13.7109375" style="1" customWidth="1"/>
    <col min="13" max="13" width="11.7109375" style="0" customWidth="1"/>
    <col min="14" max="14" width="13.140625" style="0" customWidth="1"/>
  </cols>
  <sheetData>
    <row r="1" spans="1:7" ht="15.75">
      <c r="A1" s="80" t="s">
        <v>89</v>
      </c>
      <c r="B1" s="80"/>
      <c r="C1" s="80"/>
      <c r="D1" s="80"/>
      <c r="E1" s="80"/>
      <c r="F1" s="80"/>
      <c r="G1" s="80"/>
    </row>
    <row r="2" spans="1:7" ht="15.75">
      <c r="A2" s="80" t="s">
        <v>90</v>
      </c>
      <c r="B2" s="80"/>
      <c r="C2" s="80"/>
      <c r="D2" s="80"/>
      <c r="E2" s="80"/>
      <c r="F2" s="80"/>
      <c r="G2" s="80"/>
    </row>
    <row r="3" spans="1:7" ht="15.75">
      <c r="A3" s="80" t="s">
        <v>91</v>
      </c>
      <c r="B3" s="80"/>
      <c r="C3" s="80"/>
      <c r="D3" s="80"/>
      <c r="E3" s="80"/>
      <c r="F3" s="80"/>
      <c r="G3" s="80"/>
    </row>
    <row r="4" ht="12.75">
      <c r="A4" s="2">
        <f ca="1">NOW()</f>
        <v>43208.43348599537</v>
      </c>
    </row>
    <row r="5" spans="1:10" ht="12.75">
      <c r="A5" s="1" t="s">
        <v>53</v>
      </c>
      <c r="B5" s="34"/>
      <c r="C5" s="34"/>
      <c r="D5" s="34"/>
      <c r="E5" s="31"/>
      <c r="F5" s="10"/>
      <c r="G5" s="10"/>
      <c r="J5" s="10"/>
    </row>
    <row r="6" spans="2:11" ht="12.75">
      <c r="B6" s="31" t="s">
        <v>28</v>
      </c>
      <c r="C6" s="31" t="s">
        <v>27</v>
      </c>
      <c r="D6" s="31" t="s">
        <v>27</v>
      </c>
      <c r="E6" s="31" t="s">
        <v>27</v>
      </c>
      <c r="G6" s="52" t="s">
        <v>27</v>
      </c>
      <c r="H6"/>
      <c r="K6"/>
    </row>
    <row r="7" spans="2:11" ht="12.75">
      <c r="B7" s="32" t="s">
        <v>31</v>
      </c>
      <c r="C7" s="32" t="s">
        <v>32</v>
      </c>
      <c r="D7" s="32" t="s">
        <v>33</v>
      </c>
      <c r="E7" s="32" t="s">
        <v>34</v>
      </c>
      <c r="G7" s="53" t="s">
        <v>54</v>
      </c>
      <c r="I7"/>
      <c r="K7"/>
    </row>
    <row r="8" spans="7:13" ht="12.75">
      <c r="G8" s="54"/>
      <c r="K8"/>
      <c r="M8" s="6"/>
    </row>
    <row r="9" spans="1:11" ht="12.75">
      <c r="A9" s="21" t="s">
        <v>67</v>
      </c>
      <c r="B9" s="1">
        <f>16*13*10.5</f>
        <v>2184</v>
      </c>
      <c r="C9" s="1">
        <f>16*13*10.5</f>
        <v>2184</v>
      </c>
      <c r="D9" s="1">
        <f>16*13*10.5</f>
        <v>2184</v>
      </c>
      <c r="E9" s="1">
        <f>16*13*10.5</f>
        <v>2184</v>
      </c>
      <c r="G9" s="57">
        <f>SUM(B9:E9)</f>
        <v>8736</v>
      </c>
      <c r="H9" s="7"/>
      <c r="K9"/>
    </row>
    <row r="10" spans="1:11" ht="12.75">
      <c r="A10" s="21" t="s">
        <v>75</v>
      </c>
      <c r="B10">
        <f>ROUND(0.05*B9,2)</f>
        <v>109.2</v>
      </c>
      <c r="C10">
        <f>ROUND(0.05*C9,2)</f>
        <v>109.2</v>
      </c>
      <c r="D10">
        <f>ROUND(0.05*D9,2)</f>
        <v>109.2</v>
      </c>
      <c r="E10">
        <f>ROUND(0.05*E9,2)</f>
        <v>109.2</v>
      </c>
      <c r="G10" s="54">
        <f>SUM(B10:E10)</f>
        <v>436.8</v>
      </c>
      <c r="H10" s="7"/>
      <c r="K10"/>
    </row>
    <row r="11" spans="1:11" ht="12.75">
      <c r="A11" s="20" t="s">
        <v>2</v>
      </c>
      <c r="B11" s="1">
        <f>B9-B10</f>
        <v>2074.8</v>
      </c>
      <c r="C11" s="1">
        <f>C9-C10</f>
        <v>2074.8</v>
      </c>
      <c r="D11" s="1">
        <f>D9-D10</f>
        <v>2074.8</v>
      </c>
      <c r="E11" s="1">
        <f>E9-E10</f>
        <v>2074.8</v>
      </c>
      <c r="G11" s="54">
        <f>SUM(B11:E11)</f>
        <v>8299.2</v>
      </c>
      <c r="H11" s="7"/>
      <c r="K11"/>
    </row>
    <row r="12" spans="1:11" ht="12.75">
      <c r="A12" t="s">
        <v>10</v>
      </c>
      <c r="B12" s="1">
        <f>(2100+132)*3</f>
        <v>6696</v>
      </c>
      <c r="C12" s="1">
        <f>(2100+132)*3</f>
        <v>6696</v>
      </c>
      <c r="D12" s="1">
        <f>(2100+132)*3</f>
        <v>6696</v>
      </c>
      <c r="E12" s="1">
        <f>(2100+132)*3</f>
        <v>6696</v>
      </c>
      <c r="G12" s="54">
        <f>SUM(B12:E12)</f>
        <v>26784</v>
      </c>
      <c r="H12" s="7"/>
      <c r="K12"/>
    </row>
    <row r="13" spans="1:11" ht="12.75">
      <c r="A13" t="s">
        <v>65</v>
      </c>
      <c r="B13" s="1">
        <f>100*3</f>
        <v>300</v>
      </c>
      <c r="C13" s="1">
        <f>100*3</f>
        <v>300</v>
      </c>
      <c r="D13" s="1">
        <f>100*3</f>
        <v>300</v>
      </c>
      <c r="E13" s="1">
        <f>100*3</f>
        <v>300</v>
      </c>
      <c r="G13" s="54">
        <f>SUM(B13:E13)</f>
        <v>1200</v>
      </c>
      <c r="H13" s="7"/>
      <c r="K13"/>
    </row>
    <row r="14" spans="1:11" ht="12.75">
      <c r="A14" t="s">
        <v>66</v>
      </c>
      <c r="E14" s="1">
        <v>3500</v>
      </c>
      <c r="G14" s="54">
        <f aca="true" t="shared" si="0" ref="G14:G24">SUM(B14:E14)</f>
        <v>3500</v>
      </c>
      <c r="H14" s="7"/>
      <c r="K14"/>
    </row>
    <row r="15" spans="1:11" ht="12.75">
      <c r="A15" t="s">
        <v>64</v>
      </c>
      <c r="E15" s="1">
        <v>4000</v>
      </c>
      <c r="G15" s="54">
        <f t="shared" si="0"/>
        <v>4000</v>
      </c>
      <c r="H15" s="7"/>
      <c r="K15"/>
    </row>
    <row r="16" spans="1:11" ht="12.75">
      <c r="A16" t="s">
        <v>63</v>
      </c>
      <c r="E16" s="1">
        <v>1500</v>
      </c>
      <c r="G16" s="54">
        <f t="shared" si="0"/>
        <v>1500</v>
      </c>
      <c r="H16" s="7"/>
      <c r="K16"/>
    </row>
    <row r="17" spans="1:11" ht="12.75">
      <c r="A17" s="20" t="s">
        <v>62</v>
      </c>
      <c r="B17" s="42">
        <f>SUM(B11:B16)</f>
        <v>9070.8</v>
      </c>
      <c r="C17" s="42">
        <f>SUM(C11:C16)</f>
        <v>9070.8</v>
      </c>
      <c r="D17" s="42">
        <f>SUM(D11:D16)</f>
        <v>9070.8</v>
      </c>
      <c r="E17" s="42">
        <f>SUM(E11:E16)</f>
        <v>18070.8</v>
      </c>
      <c r="F17" s="42"/>
      <c r="G17" s="67">
        <f>SUM(B17:E17)</f>
        <v>45283.2</v>
      </c>
      <c r="H17" s="7"/>
      <c r="K17"/>
    </row>
    <row r="18" spans="7:11" ht="12.75">
      <c r="G18" s="13"/>
      <c r="H18" s="7"/>
      <c r="K18"/>
    </row>
    <row r="19" spans="1:11" ht="12.75">
      <c r="A19" s="20" t="s">
        <v>52</v>
      </c>
      <c r="B19" s="1">
        <f>0.15*B9</f>
        <v>327.59999999999997</v>
      </c>
      <c r="C19" s="1">
        <f>0.15*C9</f>
        <v>327.59999999999997</v>
      </c>
      <c r="D19" s="1">
        <f>0.15*D9</f>
        <v>327.59999999999997</v>
      </c>
      <c r="E19" s="1">
        <f>0.15*E9</f>
        <v>327.59999999999997</v>
      </c>
      <c r="G19" s="13">
        <f t="shared" si="0"/>
        <v>1310.3999999999999</v>
      </c>
      <c r="H19" s="7"/>
      <c r="I19"/>
      <c r="K19"/>
    </row>
    <row r="20" spans="1:11" ht="12.75">
      <c r="A20" s="3"/>
      <c r="G20" s="13">
        <f t="shared" si="0"/>
        <v>0</v>
      </c>
      <c r="H20" s="7"/>
      <c r="I20"/>
      <c r="K20"/>
    </row>
    <row r="21" spans="1:11" ht="12.75">
      <c r="A21" t="s">
        <v>3</v>
      </c>
      <c r="B21" s="1">
        <f>$G$29*B9</f>
        <v>135.408</v>
      </c>
      <c r="C21" s="1">
        <f>$G$29*C9</f>
        <v>135.408</v>
      </c>
      <c r="D21" s="1">
        <f>$G$29*D9</f>
        <v>135.408</v>
      </c>
      <c r="E21" s="1">
        <f>$G$29*E9</f>
        <v>135.408</v>
      </c>
      <c r="G21" s="13">
        <f t="shared" si="0"/>
        <v>541.632</v>
      </c>
      <c r="H21" s="7"/>
      <c r="I21"/>
      <c r="K21"/>
    </row>
    <row r="22" spans="1:13" ht="12.75">
      <c r="A22" t="s">
        <v>4</v>
      </c>
      <c r="B22" s="1">
        <f>$G$28*B9</f>
        <v>31.668000000000003</v>
      </c>
      <c r="C22" s="1">
        <f>$G$28*C9</f>
        <v>31.668000000000003</v>
      </c>
      <c r="D22" s="1">
        <f>$G$28*D9</f>
        <v>31.668000000000003</v>
      </c>
      <c r="E22" s="1">
        <f>$G$28*E9</f>
        <v>31.668000000000003</v>
      </c>
      <c r="G22" s="13">
        <f t="shared" si="0"/>
        <v>126.67200000000001</v>
      </c>
      <c r="H22" s="7"/>
      <c r="I22"/>
      <c r="K22"/>
      <c r="M22" s="6"/>
    </row>
    <row r="23" spans="7:13" ht="12.75">
      <c r="G23" s="13"/>
      <c r="K23"/>
      <c r="M23" s="6"/>
    </row>
    <row r="24" spans="1:7" ht="12.75">
      <c r="A24" s="20" t="s">
        <v>62</v>
      </c>
      <c r="B24" s="42">
        <f>SUM(B11:B16)</f>
        <v>9070.8</v>
      </c>
      <c r="C24" s="42">
        <f>SUM(C11:C16)</f>
        <v>9070.8</v>
      </c>
      <c r="D24" s="42">
        <f>SUM(D11:D16)</f>
        <v>9070.8</v>
      </c>
      <c r="E24" s="42">
        <f>SUM(E11:E16)</f>
        <v>18070.8</v>
      </c>
      <c r="F24" s="42"/>
      <c r="G24" s="66">
        <f t="shared" si="0"/>
        <v>45283.2</v>
      </c>
    </row>
    <row r="25" spans="9:11" ht="12.75">
      <c r="I25"/>
      <c r="J25"/>
      <c r="K25"/>
    </row>
    <row r="26" spans="1:11" ht="12.75">
      <c r="A26" s="3"/>
      <c r="B26" s="4"/>
      <c r="C26" s="4"/>
      <c r="D26" s="4"/>
      <c r="E26" s="4" t="s">
        <v>7</v>
      </c>
      <c r="I26"/>
      <c r="J26"/>
      <c r="K26"/>
    </row>
    <row r="27" spans="7:11" ht="12.75">
      <c r="G27" s="29"/>
      <c r="H27" s="11"/>
      <c r="I27"/>
      <c r="J27"/>
      <c r="K27"/>
    </row>
    <row r="28" spans="5:11" ht="12.75">
      <c r="E28" s="1" t="s">
        <v>9</v>
      </c>
      <c r="G28" s="30">
        <v>0.0145</v>
      </c>
      <c r="H28" s="11"/>
      <c r="I28"/>
      <c r="J28"/>
      <c r="K28"/>
    </row>
    <row r="29" spans="5:11" ht="12.75">
      <c r="E29" s="1" t="s">
        <v>10</v>
      </c>
      <c r="G29" s="30">
        <v>0.062</v>
      </c>
      <c r="H29" s="11"/>
      <c r="I29"/>
      <c r="J29"/>
      <c r="K29"/>
    </row>
    <row r="30" spans="1:11" ht="12.75">
      <c r="A30" s="3"/>
      <c r="B30" s="4"/>
      <c r="C30" s="4"/>
      <c r="D30" s="4"/>
      <c r="E30" s="63" t="s">
        <v>87</v>
      </c>
      <c r="F30" s="4"/>
      <c r="G30" s="33">
        <v>0.132</v>
      </c>
      <c r="I30"/>
      <c r="J30"/>
      <c r="K30"/>
    </row>
    <row r="31" spans="1:11" ht="12.75">
      <c r="A31" s="3"/>
      <c r="B31" s="4"/>
      <c r="C31" s="4"/>
      <c r="D31" s="4"/>
      <c r="I31"/>
      <c r="J31"/>
      <c r="K31"/>
    </row>
    <row r="32" spans="2:11" ht="12.75">
      <c r="B32" s="28"/>
      <c r="I32"/>
      <c r="J32"/>
      <c r="K32"/>
    </row>
    <row r="33" spans="10:11" ht="12.75">
      <c r="J33"/>
      <c r="K33"/>
    </row>
    <row r="34" spans="7:11" ht="12.75">
      <c r="G34" s="14"/>
      <c r="H34" s="13"/>
      <c r="I34" s="13"/>
      <c r="J34"/>
      <c r="K34"/>
    </row>
    <row r="35" spans="7:11" ht="12.75">
      <c r="G35" s="13"/>
      <c r="H35" s="13"/>
      <c r="I35" s="13"/>
      <c r="J35"/>
      <c r="K35"/>
    </row>
    <row r="36" spans="7:11" ht="12.75">
      <c r="G36" s="13"/>
      <c r="H36" s="23"/>
      <c r="I36" s="23"/>
      <c r="J36"/>
      <c r="K36"/>
    </row>
    <row r="37" spans="7:9" ht="12.75">
      <c r="G37" s="13"/>
      <c r="H37" s="13"/>
      <c r="I37" s="24"/>
    </row>
    <row r="38" spans="7:9" ht="12.75">
      <c r="G38" s="13"/>
      <c r="H38" s="13"/>
      <c r="I38" s="24"/>
    </row>
    <row r="39" spans="7:13" ht="12.75">
      <c r="G39" s="13"/>
      <c r="H39" s="13"/>
      <c r="I39" s="24"/>
      <c r="M39" s="10"/>
    </row>
    <row r="40" spans="7:9" ht="12.75">
      <c r="G40" s="13"/>
      <c r="H40" s="13"/>
      <c r="I40" s="43"/>
    </row>
    <row r="41" spans="7:9" ht="12.75">
      <c r="G41" s="13"/>
      <c r="H41" s="13"/>
      <c r="I41" s="24"/>
    </row>
    <row r="42" spans="7:9" ht="12.75">
      <c r="G42" s="13"/>
      <c r="H42" s="13"/>
      <c r="I42" s="24"/>
    </row>
    <row r="43" spans="7:9" ht="12.75">
      <c r="G43" s="13"/>
      <c r="H43" s="13"/>
      <c r="I43" s="24"/>
    </row>
    <row r="44" spans="1:7" ht="12.75">
      <c r="A44" s="3"/>
      <c r="B44" s="5"/>
      <c r="C44" s="5"/>
      <c r="D44" s="5"/>
      <c r="F44" s="5"/>
      <c r="G44"/>
    </row>
    <row r="46" spans="1:6" ht="12.75">
      <c r="A46" s="3"/>
      <c r="B46" s="8"/>
      <c r="C46" s="8"/>
      <c r="D46" s="8"/>
      <c r="F46" s="8"/>
    </row>
  </sheetData>
  <sheetProtection/>
  <mergeCells count="3">
    <mergeCell ref="A1:G1"/>
    <mergeCell ref="A2:G2"/>
    <mergeCell ref="A3:G3"/>
  </mergeCells>
  <printOptions gridLines="1"/>
  <pageMargins left="0.75" right="0.75" top="1" bottom="1" header="0.5" footer="0.5"/>
  <pageSetup fitToHeight="1" fitToWidth="1" horizontalDpi="300" verticalDpi="300" orientation="landscape" scale="80" r:id="rId1"/>
  <headerFooter alignWithMargins="0">
    <oddHeader>&amp;LTom and Irene Burt&amp;C&amp;A</oddHeader>
    <oddFooter>&amp;L&amp;D&amp;CPage &amp;P&amp;R&amp;T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88" zoomScaleNormal="88" zoomScalePageLayoutView="0" workbookViewId="0" topLeftCell="A1">
      <selection activeCell="A4" sqref="A4"/>
    </sheetView>
  </sheetViews>
  <sheetFormatPr defaultColWidth="9.140625" defaultRowHeight="12.75"/>
  <cols>
    <col min="1" max="1" width="29.57421875" style="0" bestFit="1" customWidth="1"/>
    <col min="2" max="2" width="15.57421875" style="1" customWidth="1"/>
    <col min="3" max="3" width="15.421875" style="1" customWidth="1"/>
    <col min="4" max="6" width="16.00390625" style="1" customWidth="1"/>
    <col min="7" max="7" width="13.7109375" style="1" customWidth="1"/>
    <col min="8" max="8" width="11.7109375" style="1" customWidth="1"/>
    <col min="9" max="11" width="13.7109375" style="1" customWidth="1"/>
    <col min="13" max="13" width="11.7109375" style="0" customWidth="1"/>
    <col min="14" max="14" width="13.140625" style="0" customWidth="1"/>
  </cols>
  <sheetData>
    <row r="1" spans="1:7" ht="15.75">
      <c r="A1" s="80" t="s">
        <v>89</v>
      </c>
      <c r="B1" s="80"/>
      <c r="C1" s="80"/>
      <c r="D1" s="80"/>
      <c r="E1" s="80"/>
      <c r="F1" s="80"/>
      <c r="G1" s="80"/>
    </row>
    <row r="2" spans="1:7" ht="15.75">
      <c r="A2" s="80" t="s">
        <v>90</v>
      </c>
      <c r="B2" s="80"/>
      <c r="C2" s="80"/>
      <c r="D2" s="80"/>
      <c r="E2" s="80"/>
      <c r="F2" s="80"/>
      <c r="G2" s="80"/>
    </row>
    <row r="3" spans="1:7" ht="15.75">
      <c r="A3" s="80" t="s">
        <v>91</v>
      </c>
      <c r="B3" s="80"/>
      <c r="C3" s="80"/>
      <c r="D3" s="80"/>
      <c r="E3" s="80"/>
      <c r="F3" s="80"/>
      <c r="G3" s="80"/>
    </row>
    <row r="4" ht="12.75">
      <c r="A4" s="2">
        <f ca="1">NOW()</f>
        <v>43208.43348599537</v>
      </c>
    </row>
    <row r="5" spans="1:10" ht="12.75">
      <c r="A5" s="63" t="s">
        <v>73</v>
      </c>
      <c r="G5" s="10"/>
      <c r="H5"/>
      <c r="I5"/>
      <c r="J5"/>
    </row>
    <row r="6" spans="2:10" ht="12.75">
      <c r="B6" s="31" t="s">
        <v>28</v>
      </c>
      <c r="C6" s="65" t="s">
        <v>27</v>
      </c>
      <c r="D6" s="65" t="s">
        <v>27</v>
      </c>
      <c r="E6" s="65" t="s">
        <v>27</v>
      </c>
      <c r="F6" s="31"/>
      <c r="G6" s="64" t="s">
        <v>27</v>
      </c>
      <c r="H6"/>
      <c r="I6"/>
      <c r="J6"/>
    </row>
    <row r="7" spans="2:10" ht="12.75">
      <c r="B7" s="32" t="s">
        <v>31</v>
      </c>
      <c r="C7" s="68" t="s">
        <v>32</v>
      </c>
      <c r="D7" s="69" t="s">
        <v>33</v>
      </c>
      <c r="E7" s="69" t="s">
        <v>34</v>
      </c>
      <c r="F7" s="36"/>
      <c r="G7" s="58" t="s">
        <v>54</v>
      </c>
      <c r="I7"/>
      <c r="J7"/>
    </row>
    <row r="8" spans="1:10" ht="12.75">
      <c r="A8" t="s">
        <v>47</v>
      </c>
      <c r="G8" s="54">
        <f>SUM(B8:E8)</f>
        <v>0</v>
      </c>
      <c r="H8"/>
      <c r="J8"/>
    </row>
    <row r="9" spans="1:10" ht="12.75">
      <c r="A9" s="21" t="s">
        <v>1</v>
      </c>
      <c r="G9" s="54">
        <f aca="true" t="shared" si="0" ref="G9:G24">SUM(B9:F9)</f>
        <v>0</v>
      </c>
      <c r="H9"/>
      <c r="J9"/>
    </row>
    <row r="10" spans="1:10" ht="12.75">
      <c r="A10" s="20" t="s">
        <v>2</v>
      </c>
      <c r="B10" s="7">
        <f>B8-B9</f>
        <v>0</v>
      </c>
      <c r="C10" s="7">
        <f>C8-C9</f>
        <v>0</v>
      </c>
      <c r="D10" s="7">
        <f>D8-D9</f>
        <v>0</v>
      </c>
      <c r="E10" s="7">
        <f>E8-E9</f>
        <v>0</v>
      </c>
      <c r="F10" s="7"/>
      <c r="G10" s="54">
        <f t="shared" si="0"/>
        <v>0</v>
      </c>
      <c r="H10"/>
      <c r="I10"/>
      <c r="J10"/>
    </row>
    <row r="11" spans="1:10" ht="12.75">
      <c r="A11" s="21" t="s">
        <v>74</v>
      </c>
      <c r="B11" s="7">
        <f>16*17.5*13</f>
        <v>3640</v>
      </c>
      <c r="C11" s="7">
        <f>16*17.5*13</f>
        <v>3640</v>
      </c>
      <c r="D11" s="7">
        <f>16*17.5*13</f>
        <v>3640</v>
      </c>
      <c r="E11" s="7">
        <f>16*17.5*13</f>
        <v>3640</v>
      </c>
      <c r="F11" s="7"/>
      <c r="G11" s="54">
        <f t="shared" si="0"/>
        <v>14560</v>
      </c>
      <c r="H11"/>
      <c r="I11"/>
      <c r="J11"/>
    </row>
    <row r="12" spans="1:10" ht="12.75">
      <c r="A12" t="s">
        <v>38</v>
      </c>
      <c r="B12" s="7">
        <f>(1900+132)*3</f>
        <v>6096</v>
      </c>
      <c r="C12" s="7">
        <f>(1900+132)*3</f>
        <v>6096</v>
      </c>
      <c r="D12" s="7">
        <f>(1900+132)*3</f>
        <v>6096</v>
      </c>
      <c r="E12" s="7">
        <f>(1900+132)*3</f>
        <v>6096</v>
      </c>
      <c r="F12" s="7"/>
      <c r="G12" s="54">
        <f>SUM(B12:E12)</f>
        <v>24384</v>
      </c>
      <c r="H12"/>
      <c r="I12"/>
      <c r="J12"/>
    </row>
    <row r="13" spans="1:10" ht="12.75">
      <c r="A13" s="21" t="s">
        <v>65</v>
      </c>
      <c r="B13" s="7">
        <f>300*3</f>
        <v>900</v>
      </c>
      <c r="C13" s="7">
        <f>300*3</f>
        <v>900</v>
      </c>
      <c r="D13" s="7">
        <f>300*3</f>
        <v>900</v>
      </c>
      <c r="E13" s="7">
        <f>300*3</f>
        <v>900</v>
      </c>
      <c r="F13" s="7"/>
      <c r="G13" s="54">
        <f t="shared" si="0"/>
        <v>3600</v>
      </c>
      <c r="H13"/>
      <c r="I13"/>
      <c r="J13"/>
    </row>
    <row r="14" spans="1:11" ht="12.75">
      <c r="A14" s="21"/>
      <c r="G14" s="54">
        <f t="shared" si="0"/>
        <v>0</v>
      </c>
      <c r="H14"/>
      <c r="I14"/>
      <c r="J14"/>
      <c r="K14" s="4"/>
    </row>
    <row r="15" spans="1:11" ht="12.75">
      <c r="A15" s="21" t="s">
        <v>55</v>
      </c>
      <c r="E15" s="1">
        <v>7000</v>
      </c>
      <c r="G15" s="54">
        <f t="shared" si="0"/>
        <v>7000</v>
      </c>
      <c r="H15"/>
      <c r="I15"/>
      <c r="J15"/>
      <c r="K15" s="4"/>
    </row>
    <row r="16" spans="1:11" ht="12.75">
      <c r="A16" s="21" t="s">
        <v>63</v>
      </c>
      <c r="E16" s="1">
        <f>5000</f>
        <v>5000</v>
      </c>
      <c r="G16" s="54">
        <f t="shared" si="0"/>
        <v>5000</v>
      </c>
      <c r="H16"/>
      <c r="I16"/>
      <c r="J16"/>
      <c r="K16" s="4"/>
    </row>
    <row r="17" spans="1:11" ht="12.75">
      <c r="A17" s="21" t="s">
        <v>63</v>
      </c>
      <c r="E17" s="1">
        <v>4000</v>
      </c>
      <c r="G17" s="54">
        <f t="shared" si="0"/>
        <v>4000</v>
      </c>
      <c r="H17"/>
      <c r="I17"/>
      <c r="J17"/>
      <c r="K17" s="4"/>
    </row>
    <row r="18" spans="1:11" ht="12.75">
      <c r="A18" s="21"/>
      <c r="G18" s="54"/>
      <c r="H18"/>
      <c r="I18"/>
      <c r="J18"/>
      <c r="K18" s="4"/>
    </row>
    <row r="19" spans="1:11" ht="12.75">
      <c r="A19" s="20" t="s">
        <v>76</v>
      </c>
      <c r="B19" s="42">
        <f>SUM(B10:B17)</f>
        <v>10636</v>
      </c>
      <c r="C19" s="42">
        <f>SUM(C10:C17)</f>
        <v>10636</v>
      </c>
      <c r="D19" s="42">
        <f>SUM(D10:D17)</f>
        <v>10636</v>
      </c>
      <c r="E19" s="42">
        <f>SUM(E10:E17)</f>
        <v>26636</v>
      </c>
      <c r="G19" s="67">
        <f t="shared" si="0"/>
        <v>58544</v>
      </c>
      <c r="H19"/>
      <c r="I19"/>
      <c r="J19"/>
      <c r="K19" s="4"/>
    </row>
    <row r="20" spans="1:11" ht="12.75">
      <c r="A20" s="21"/>
      <c r="G20" s="13"/>
      <c r="H20"/>
      <c r="I20"/>
      <c r="J20"/>
      <c r="K20" s="4"/>
    </row>
    <row r="21" spans="1:10" ht="12.75">
      <c r="A21" t="s">
        <v>18</v>
      </c>
      <c r="B21" s="1">
        <f>$G$28*B8</f>
        <v>0</v>
      </c>
      <c r="C21" s="1">
        <f>$G$28*C8</f>
        <v>0</v>
      </c>
      <c r="D21" s="1">
        <f>$G$28*D8</f>
        <v>0</v>
      </c>
      <c r="E21" s="1">
        <f>$G$28*E8</f>
        <v>0</v>
      </c>
      <c r="G21" s="13">
        <f t="shared" si="0"/>
        <v>0</v>
      </c>
      <c r="H21"/>
      <c r="I21" s="19"/>
      <c r="J21"/>
    </row>
    <row r="22" spans="1:13" ht="12.75">
      <c r="A22" t="s">
        <v>19</v>
      </c>
      <c r="B22" s="1">
        <f>$G$27*B8</f>
        <v>0</v>
      </c>
      <c r="C22" s="1">
        <f>$G$27*C8</f>
        <v>0</v>
      </c>
      <c r="D22" s="1">
        <f>$G$27*D8</f>
        <v>0</v>
      </c>
      <c r="E22" s="1">
        <f>$G$27*E8</f>
        <v>0</v>
      </c>
      <c r="G22" s="13">
        <f t="shared" si="0"/>
        <v>0</v>
      </c>
      <c r="H22" s="7"/>
      <c r="J22"/>
      <c r="M22" s="6"/>
    </row>
    <row r="23" spans="1:11" ht="12.75">
      <c r="A23" s="21" t="s">
        <v>17</v>
      </c>
      <c r="B23" s="1">
        <v>0</v>
      </c>
      <c r="C23" s="1">
        <v>0</v>
      </c>
      <c r="D23" s="1">
        <v>0</v>
      </c>
      <c r="E23" s="1">
        <v>0</v>
      </c>
      <c r="F23"/>
      <c r="G23" s="13">
        <f t="shared" si="0"/>
        <v>0</v>
      </c>
      <c r="H23"/>
      <c r="I23"/>
      <c r="J23"/>
      <c r="K23"/>
    </row>
    <row r="24" spans="1:11" ht="12.75">
      <c r="A24" s="21" t="s">
        <v>88</v>
      </c>
      <c r="B24">
        <f>B11*$G$28</f>
        <v>187.46</v>
      </c>
      <c r="C24">
        <f>C11*$G$28</f>
        <v>187.46</v>
      </c>
      <c r="D24">
        <f>D11*$G$28</f>
        <v>187.46</v>
      </c>
      <c r="E24">
        <f>E11*$G$28</f>
        <v>187.46</v>
      </c>
      <c r="F24"/>
      <c r="G24" s="13">
        <f t="shared" si="0"/>
        <v>749.84</v>
      </c>
      <c r="H24"/>
      <c r="I24"/>
      <c r="J24"/>
      <c r="K24"/>
    </row>
    <row r="25" spans="1:11" ht="12.75">
      <c r="A25" s="3"/>
      <c r="B25" s="4"/>
      <c r="C25" s="4"/>
      <c r="E25" s="4"/>
      <c r="F25" s="4" t="s">
        <v>7</v>
      </c>
      <c r="I25"/>
      <c r="J25"/>
      <c r="K25"/>
    </row>
    <row r="26" spans="7:11" ht="12.75">
      <c r="G26" s="25"/>
      <c r="H26" s="11"/>
      <c r="I26"/>
      <c r="J26"/>
      <c r="K26"/>
    </row>
    <row r="27" spans="6:11" ht="12.75">
      <c r="F27" s="1" t="s">
        <v>9</v>
      </c>
      <c r="G27" s="11">
        <v>0.0145</v>
      </c>
      <c r="H27" s="11"/>
      <c r="I27"/>
      <c r="J27"/>
      <c r="K27"/>
    </row>
    <row r="28" spans="6:11" ht="12.75">
      <c r="F28" s="1" t="s">
        <v>10</v>
      </c>
      <c r="G28" s="11">
        <f>(G29-0.029)/2</f>
        <v>0.051500000000000004</v>
      </c>
      <c r="H28" s="11"/>
      <c r="I28"/>
      <c r="J28"/>
      <c r="K28"/>
    </row>
    <row r="29" spans="1:11" ht="12.75">
      <c r="A29" s="3"/>
      <c r="B29" s="4"/>
      <c r="C29" s="4"/>
      <c r="F29" s="63" t="s">
        <v>87</v>
      </c>
      <c r="G29" s="11">
        <v>0.132</v>
      </c>
      <c r="I29"/>
      <c r="J29"/>
      <c r="K29"/>
    </row>
    <row r="30" spans="1:11" ht="12.75">
      <c r="A30" s="3"/>
      <c r="B30" s="4"/>
      <c r="G30" s="12"/>
      <c r="I30"/>
      <c r="J30"/>
      <c r="K30"/>
    </row>
    <row r="31" spans="9:11" ht="12.75">
      <c r="I31"/>
      <c r="J31"/>
      <c r="K31"/>
    </row>
    <row r="32" spans="9:11" ht="12.75">
      <c r="I32"/>
      <c r="J32"/>
      <c r="K32"/>
    </row>
    <row r="33" spans="1:11" ht="12.75">
      <c r="A33" s="18"/>
      <c r="I33"/>
      <c r="J33"/>
      <c r="K33"/>
    </row>
    <row r="34" spans="5:11" ht="12.75">
      <c r="E34" s="35"/>
      <c r="F34" s="35"/>
      <c r="G34" s="13"/>
      <c r="H34" s="13"/>
      <c r="I34"/>
      <c r="J34"/>
      <c r="K34"/>
    </row>
    <row r="35" spans="7:11" ht="12.75">
      <c r="G35" s="13"/>
      <c r="H35" s="13"/>
      <c r="I35"/>
      <c r="J35"/>
      <c r="K35"/>
    </row>
    <row r="36" spans="4:11" ht="12.75">
      <c r="D36" s="4"/>
      <c r="E36" s="4"/>
      <c r="F36" s="4"/>
      <c r="G36" s="13"/>
      <c r="H36" s="13"/>
      <c r="I36"/>
      <c r="J36"/>
      <c r="K36"/>
    </row>
    <row r="37" spans="7:8" ht="12.75">
      <c r="G37" s="13"/>
      <c r="H37" s="24"/>
    </row>
    <row r="38" spans="7:8" ht="12.75">
      <c r="G38" s="13"/>
      <c r="H38" s="24"/>
    </row>
    <row r="39" spans="7:13" ht="12.75">
      <c r="G39" s="13"/>
      <c r="H39" s="24"/>
      <c r="I39"/>
      <c r="M39" s="10"/>
    </row>
    <row r="40" spans="7:9" ht="12.75">
      <c r="G40" s="13"/>
      <c r="H40" s="24"/>
      <c r="I40"/>
    </row>
    <row r="41" spans="7:9" ht="12.75">
      <c r="G41" s="13"/>
      <c r="H41" s="24"/>
      <c r="I41"/>
    </row>
    <row r="42" spans="7:9" ht="12.75">
      <c r="G42" s="13"/>
      <c r="H42" s="24"/>
      <c r="I42"/>
    </row>
    <row r="43" spans="7:8" ht="12.75">
      <c r="G43" s="13"/>
      <c r="H43" s="24"/>
    </row>
    <row r="44" spans="1:3" ht="12.75">
      <c r="A44" s="3"/>
      <c r="B44" s="5"/>
      <c r="C44" s="5"/>
    </row>
    <row r="45" spans="1:8" ht="12.75">
      <c r="A45" s="3"/>
      <c r="B45" s="4"/>
      <c r="G45" s="13"/>
      <c r="H45" s="14"/>
    </row>
    <row r="46" spans="1:8" ht="12.75">
      <c r="A46" s="3"/>
      <c r="B46" s="8"/>
      <c r="C46" s="8"/>
      <c r="G46" s="13"/>
      <c r="H46" s="14"/>
    </row>
  </sheetData>
  <sheetProtection/>
  <mergeCells count="3">
    <mergeCell ref="A1:G1"/>
    <mergeCell ref="A2:G2"/>
    <mergeCell ref="A3:G3"/>
  </mergeCells>
  <printOptions gridLines="1"/>
  <pageMargins left="0.75" right="0.75" top="1" bottom="1" header="0.5" footer="0.5"/>
  <pageSetup fitToHeight="1" fitToWidth="1" horizontalDpi="300" verticalDpi="300" orientation="landscape" scale="84" r:id="rId1"/>
  <headerFooter alignWithMargins="0">
    <oddHeader>&amp;LTom and Irene Burt&amp;C&amp;A</oddHeader>
    <oddFooter>&amp;L&amp;D&amp;CPage &amp;P&amp;R&amp;T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8" zoomScaleNormal="88" zoomScalePageLayoutView="0" workbookViewId="0" topLeftCell="A1">
      <selection activeCell="A4" sqref="A4"/>
    </sheetView>
  </sheetViews>
  <sheetFormatPr defaultColWidth="9.140625" defaultRowHeight="12.75"/>
  <cols>
    <col min="1" max="1" width="33.7109375" style="0" customWidth="1"/>
    <col min="2" max="2" width="12.57421875" style="1" customWidth="1"/>
    <col min="3" max="4" width="13.7109375" style="1" customWidth="1"/>
    <col min="5" max="5" width="14.57421875" style="1" customWidth="1"/>
    <col min="6" max="6" width="8.57421875" style="1" bestFit="1" customWidth="1"/>
    <col min="7" max="7" width="13.7109375" style="1" customWidth="1"/>
    <col min="8" max="8" width="6.8515625" style="1" customWidth="1"/>
    <col min="9" max="9" width="13.421875" style="1" customWidth="1"/>
    <col min="10" max="10" width="13.7109375" style="1" customWidth="1"/>
    <col min="12" max="12" width="11.7109375" style="0" customWidth="1"/>
    <col min="13" max="13" width="13.140625" style="0" customWidth="1"/>
  </cols>
  <sheetData>
    <row r="1" spans="1:6" ht="15.75">
      <c r="A1" s="80" t="s">
        <v>89</v>
      </c>
      <c r="B1" s="80"/>
      <c r="C1" s="80"/>
      <c r="D1" s="80"/>
      <c r="E1" s="80"/>
      <c r="F1" s="80"/>
    </row>
    <row r="2" spans="1:6" ht="15.75">
      <c r="A2" s="80" t="s">
        <v>90</v>
      </c>
      <c r="B2" s="80"/>
      <c r="C2" s="80"/>
      <c r="D2" s="80"/>
      <c r="E2" s="80"/>
      <c r="F2" s="80"/>
    </row>
    <row r="3" spans="1:6" ht="15.75">
      <c r="A3" s="80" t="s">
        <v>91</v>
      </c>
      <c r="B3" s="80"/>
      <c r="C3" s="80"/>
      <c r="D3" s="80"/>
      <c r="E3" s="80"/>
      <c r="F3" s="80"/>
    </row>
    <row r="5" ht="12.75">
      <c r="A5" s="20" t="s">
        <v>58</v>
      </c>
    </row>
    <row r="6" spans="1:2" ht="12.75">
      <c r="A6" s="2">
        <f ca="1">NOW()</f>
        <v>43208.43348599537</v>
      </c>
      <c r="B6" s="5" t="s">
        <v>59</v>
      </c>
    </row>
    <row r="7" spans="2:9" ht="12.75">
      <c r="B7"/>
      <c r="C7" s="10"/>
      <c r="D7" s="10"/>
      <c r="F7" s="10"/>
      <c r="I7" s="10"/>
    </row>
    <row r="8" spans="1:10" ht="12.75">
      <c r="A8" s="63" t="s">
        <v>73</v>
      </c>
      <c r="B8" s="16" t="s">
        <v>60</v>
      </c>
      <c r="C8" s="16" t="s">
        <v>61</v>
      </c>
      <c r="D8" s="16" t="s">
        <v>0</v>
      </c>
      <c r="E8" s="15"/>
      <c r="F8" s="16"/>
      <c r="I8"/>
      <c r="J8"/>
    </row>
    <row r="9" spans="2:10" ht="12.75">
      <c r="B9" s="31" t="s">
        <v>15</v>
      </c>
      <c r="C9" s="31" t="s">
        <v>15</v>
      </c>
      <c r="D9" s="31" t="s">
        <v>15</v>
      </c>
      <c r="G9" s="9"/>
      <c r="H9"/>
      <c r="I9"/>
      <c r="J9"/>
    </row>
    <row r="10" spans="1:10" ht="12.75">
      <c r="A10" t="s">
        <v>16</v>
      </c>
      <c r="B10" s="1">
        <f>'John 2018 Income'!$G$9</f>
        <v>8736</v>
      </c>
      <c r="C10" s="1">
        <v>0</v>
      </c>
      <c r="D10" s="1">
        <f aca="true" t="shared" si="0" ref="D10:D28">B10+C10</f>
        <v>8736</v>
      </c>
      <c r="G10" s="7"/>
      <c r="I10"/>
      <c r="J10"/>
    </row>
    <row r="11" spans="1:10" ht="12.75">
      <c r="A11" s="21" t="s">
        <v>35</v>
      </c>
      <c r="B11" s="1">
        <f>'John 2018 Income'!$G$10</f>
        <v>436.8</v>
      </c>
      <c r="C11" s="1">
        <f>'Mary 2018 Tax Earnings'!G9</f>
        <v>0</v>
      </c>
      <c r="D11" s="1">
        <f>B11+C11</f>
        <v>436.8</v>
      </c>
      <c r="G11" s="7"/>
      <c r="I11"/>
      <c r="J11"/>
    </row>
    <row r="12" spans="1:10" ht="12.75">
      <c r="A12" t="s">
        <v>2</v>
      </c>
      <c r="B12" s="1">
        <f>B10-B11</f>
        <v>8299.2</v>
      </c>
      <c r="C12" s="1">
        <f>C10-C11</f>
        <v>0</v>
      </c>
      <c r="D12" s="1">
        <f>B12+C12</f>
        <v>8299.2</v>
      </c>
      <c r="G12" s="7"/>
      <c r="I12"/>
      <c r="J12"/>
    </row>
    <row r="13" spans="1:10" ht="12.75">
      <c r="A13" t="s">
        <v>40</v>
      </c>
      <c r="B13" s="50">
        <v>0</v>
      </c>
      <c r="C13" s="1">
        <f>'Mary 2018 Tax Earnings'!G11</f>
        <v>14560</v>
      </c>
      <c r="D13" s="1">
        <f t="shared" si="0"/>
        <v>14560</v>
      </c>
      <c r="G13" s="7"/>
      <c r="I13"/>
      <c r="J13"/>
    </row>
    <row r="14" spans="1:10" ht="12.75">
      <c r="A14" t="s">
        <v>26</v>
      </c>
      <c r="B14" s="51">
        <v>0</v>
      </c>
      <c r="C14" s="1">
        <f>12*100</f>
        <v>1200</v>
      </c>
      <c r="D14" s="1">
        <f t="shared" si="0"/>
        <v>1200</v>
      </c>
      <c r="G14" s="7"/>
      <c r="I14"/>
      <c r="J14"/>
    </row>
    <row r="15" spans="1:10" ht="12.75">
      <c r="A15" t="s">
        <v>42</v>
      </c>
      <c r="B15" s="50">
        <f>B13-B14</f>
        <v>0</v>
      </c>
      <c r="C15" s="1">
        <f>C13-C14</f>
        <v>13360</v>
      </c>
      <c r="D15" s="1">
        <f t="shared" si="0"/>
        <v>13360</v>
      </c>
      <c r="G15" s="7"/>
      <c r="I15"/>
      <c r="J15"/>
    </row>
    <row r="16" spans="1:10" ht="12.75">
      <c r="A16" s="21"/>
      <c r="G16" s="7"/>
      <c r="H16"/>
      <c r="I16"/>
      <c r="J16"/>
    </row>
    <row r="17" spans="1:10" ht="12.75">
      <c r="A17" t="s">
        <v>38</v>
      </c>
      <c r="B17" s="1">
        <f>'John 2018 Income'!$G$12</f>
        <v>26784</v>
      </c>
      <c r="C17" s="1">
        <f>'Mary 2018 Tax Earnings'!G12</f>
        <v>24384</v>
      </c>
      <c r="D17" s="1">
        <f>B17+C17</f>
        <v>51168</v>
      </c>
      <c r="G17" s="7"/>
      <c r="I17"/>
      <c r="J17"/>
    </row>
    <row r="18" spans="1:10" ht="12.75">
      <c r="A18" s="21" t="s">
        <v>79</v>
      </c>
      <c r="B18" s="1">
        <f>'John 2018 Income'!$G$13</f>
        <v>1200</v>
      </c>
      <c r="C18" s="1">
        <f>'Mary 2018 Tax Earnings'!G13</f>
        <v>3600</v>
      </c>
      <c r="D18" s="1">
        <f>B18+C18</f>
        <v>4800</v>
      </c>
      <c r="G18" s="7"/>
      <c r="I18"/>
      <c r="J18"/>
    </row>
    <row r="19" spans="1:10" ht="12.75">
      <c r="A19" s="21" t="s">
        <v>71</v>
      </c>
      <c r="B19" s="1">
        <f>'John 2018 Income'!$G$15</f>
        <v>4000</v>
      </c>
      <c r="C19" s="1">
        <f>'Mary 2018 Tax Earnings'!G17</f>
        <v>4000</v>
      </c>
      <c r="D19" s="1">
        <f>B19+C19</f>
        <v>8000</v>
      </c>
      <c r="G19" s="7"/>
      <c r="I19"/>
      <c r="J19"/>
    </row>
    <row r="20" spans="1:10" ht="12.75">
      <c r="A20" s="21" t="s">
        <v>80</v>
      </c>
      <c r="B20" s="1">
        <f>'John 2018 Income'!$G$14</f>
        <v>3500</v>
      </c>
      <c r="C20" s="1">
        <f>'Mary 2018 Tax Earnings'!G15</f>
        <v>7000</v>
      </c>
      <c r="D20" s="1">
        <f>B20+C20</f>
        <v>10500</v>
      </c>
      <c r="G20" s="7"/>
      <c r="I20"/>
      <c r="J20"/>
    </row>
    <row r="21" spans="1:10" ht="12.75">
      <c r="A21" s="21" t="s">
        <v>70</v>
      </c>
      <c r="B21" s="1">
        <f>'John 2018 Income'!$G$16</f>
        <v>1500</v>
      </c>
      <c r="C21" s="1">
        <f>'Mary 2018 Tax Earnings'!G16</f>
        <v>5000</v>
      </c>
      <c r="D21" s="1">
        <f>B21+C21</f>
        <v>6500</v>
      </c>
      <c r="G21" s="7"/>
      <c r="I21"/>
      <c r="J21"/>
    </row>
    <row r="22" spans="7:10" ht="12.75">
      <c r="G22" s="7"/>
      <c r="I22"/>
      <c r="J22"/>
    </row>
    <row r="23" spans="1:10" ht="12.75">
      <c r="A23" s="20" t="s">
        <v>72</v>
      </c>
      <c r="B23" s="1">
        <f>'John 2018 Income'!$G$19</f>
        <v>1310.3999999999999</v>
      </c>
      <c r="C23" s="1">
        <f>'Mary 2018 Tax Earnings'!G14</f>
        <v>0</v>
      </c>
      <c r="D23" s="1">
        <f t="shared" si="0"/>
        <v>1310.3999999999999</v>
      </c>
      <c r="F23" s="4"/>
      <c r="G23" s="7"/>
      <c r="H23"/>
      <c r="I23"/>
      <c r="J23"/>
    </row>
    <row r="24" spans="1:10" ht="12.75">
      <c r="A24" s="3"/>
      <c r="F24" s="4"/>
      <c r="G24" s="7"/>
      <c r="H24"/>
      <c r="I24"/>
      <c r="J24"/>
    </row>
    <row r="25" spans="1:10" ht="12.75">
      <c r="A25" t="s">
        <v>18</v>
      </c>
      <c r="B25" s="1">
        <f>B10*$F$34</f>
        <v>541.632</v>
      </c>
      <c r="C25" s="1">
        <f>C10*$F$34</f>
        <v>0</v>
      </c>
      <c r="D25" s="1">
        <f t="shared" si="0"/>
        <v>541.632</v>
      </c>
      <c r="G25" s="7"/>
      <c r="H25"/>
      <c r="I25"/>
      <c r="J25"/>
    </row>
    <row r="26" spans="1:12" ht="12.75">
      <c r="A26" t="s">
        <v>19</v>
      </c>
      <c r="B26" s="1">
        <f>B10*$F$32</f>
        <v>126.67200000000001</v>
      </c>
      <c r="C26" s="1">
        <f>C10*$F$32</f>
        <v>0</v>
      </c>
      <c r="D26" s="1">
        <f t="shared" si="0"/>
        <v>126.67200000000001</v>
      </c>
      <c r="G26" s="7"/>
      <c r="H26"/>
      <c r="I26"/>
      <c r="J26"/>
      <c r="L26" s="6"/>
    </row>
    <row r="27" spans="1:12" ht="12.75">
      <c r="A27" t="s">
        <v>20</v>
      </c>
      <c r="B27" s="1">
        <f>B15*$F$34*1.8</f>
        <v>0</v>
      </c>
      <c r="C27" s="1">
        <f>C15*$F$34*0.8674*2</f>
        <v>1436.969536</v>
      </c>
      <c r="D27" s="1">
        <f t="shared" si="0"/>
        <v>1436.969536</v>
      </c>
      <c r="G27" s="7"/>
      <c r="H27"/>
      <c r="I27"/>
      <c r="J27"/>
      <c r="L27" s="6"/>
    </row>
    <row r="28" spans="1:12" ht="12.75">
      <c r="A28" t="s">
        <v>21</v>
      </c>
      <c r="B28" s="1">
        <f>B13*$F$32*1.8</f>
        <v>0</v>
      </c>
      <c r="C28" s="1">
        <f>C13*$F$32*0.8674*2</f>
        <v>366.250976</v>
      </c>
      <c r="D28" s="1">
        <f t="shared" si="0"/>
        <v>366.250976</v>
      </c>
      <c r="G28" s="7"/>
      <c r="H28"/>
      <c r="I28"/>
      <c r="J28"/>
      <c r="L28" s="6"/>
    </row>
    <row r="30" spans="1:10" ht="12.75">
      <c r="A30" s="3" t="s">
        <v>5</v>
      </c>
      <c r="B30" s="4" t="s">
        <v>6</v>
      </c>
      <c r="C30" s="4"/>
      <c r="D30" s="4"/>
      <c r="E30" s="4" t="s">
        <v>7</v>
      </c>
      <c r="H30"/>
      <c r="I30"/>
      <c r="J30"/>
    </row>
    <row r="31" spans="1:10" ht="12.75">
      <c r="A31" t="s">
        <v>8</v>
      </c>
      <c r="F31" s="11"/>
      <c r="G31" s="11"/>
      <c r="H31"/>
      <c r="I31"/>
      <c r="J31"/>
    </row>
    <row r="32" spans="1:10" ht="12.75">
      <c r="A32" t="s">
        <v>44</v>
      </c>
      <c r="B32" s="1">
        <f>D12</f>
        <v>8299.2</v>
      </c>
      <c r="E32" s="42" t="s">
        <v>9</v>
      </c>
      <c r="F32" s="30">
        <v>0.0145</v>
      </c>
      <c r="G32" s="11"/>
      <c r="H32"/>
      <c r="I32"/>
      <c r="J32"/>
    </row>
    <row r="33" spans="1:10" ht="12.75">
      <c r="A33" t="s">
        <v>45</v>
      </c>
      <c r="B33" s="1">
        <f>D15</f>
        <v>13360</v>
      </c>
      <c r="F33" s="30"/>
      <c r="G33" s="11"/>
      <c r="H33"/>
      <c r="I33"/>
      <c r="J33"/>
    </row>
    <row r="34" spans="1:10" ht="12.75">
      <c r="A34" t="s">
        <v>46</v>
      </c>
      <c r="E34" s="42" t="s">
        <v>10</v>
      </c>
      <c r="F34" s="30">
        <v>0.062</v>
      </c>
      <c r="G34" s="11"/>
      <c r="H34"/>
      <c r="I34"/>
      <c r="J34"/>
    </row>
    <row r="35" spans="1:10" ht="12.75">
      <c r="A35" t="s">
        <v>37</v>
      </c>
      <c r="B35" s="1">
        <f>9000</f>
        <v>9000</v>
      </c>
      <c r="F35" s="30"/>
      <c r="G35" s="11"/>
      <c r="H35"/>
      <c r="I35"/>
      <c r="J35"/>
    </row>
    <row r="36" spans="1:10" ht="12.75">
      <c r="A36" t="s">
        <v>51</v>
      </c>
      <c r="B36" s="1">
        <f>90</f>
        <v>90</v>
      </c>
      <c r="E36" s="42" t="s">
        <v>87</v>
      </c>
      <c r="F36" s="30">
        <v>0.132</v>
      </c>
      <c r="G36" s="11"/>
      <c r="H36"/>
      <c r="I36"/>
      <c r="J36"/>
    </row>
    <row r="37" spans="1:10" ht="12.75">
      <c r="A37" s="49" t="s">
        <v>49</v>
      </c>
      <c r="B37" s="48">
        <f>D17*0.85</f>
        <v>43492.799999999996</v>
      </c>
      <c r="E37" s="42" t="s">
        <v>48</v>
      </c>
      <c r="F37" s="62">
        <v>26600</v>
      </c>
      <c r="G37" s="11"/>
      <c r="H37"/>
      <c r="I37"/>
      <c r="J37"/>
    </row>
    <row r="38" spans="1:10" ht="12.75">
      <c r="A38" s="60" t="s">
        <v>77</v>
      </c>
      <c r="B38" s="1">
        <f>D18</f>
        <v>4800</v>
      </c>
      <c r="F38" s="11"/>
      <c r="G38" s="11"/>
      <c r="H38" s="22"/>
      <c r="I38" s="22"/>
      <c r="J38"/>
    </row>
    <row r="39" spans="1:10" ht="12.75">
      <c r="A39" s="60" t="s">
        <v>68</v>
      </c>
      <c r="B39" s="1">
        <f>$D$21</f>
        <v>6500</v>
      </c>
      <c r="F39" s="11"/>
      <c r="G39" s="11"/>
      <c r="H39" s="22"/>
      <c r="I39" s="22"/>
      <c r="J39"/>
    </row>
    <row r="40" spans="1:10" ht="12.75">
      <c r="A40" s="21" t="s">
        <v>57</v>
      </c>
      <c r="B40" s="1">
        <f>$D$20</f>
        <v>10500</v>
      </c>
      <c r="F40" s="11"/>
      <c r="G40" s="11"/>
      <c r="H40" s="22"/>
      <c r="I40" s="61"/>
      <c r="J40"/>
    </row>
    <row r="41" spans="1:10" ht="12.75">
      <c r="A41" s="21" t="s">
        <v>68</v>
      </c>
      <c r="B41" s="1">
        <f>$D$19</f>
        <v>8000</v>
      </c>
      <c r="F41" s="11"/>
      <c r="G41" s="11"/>
      <c r="H41" s="22"/>
      <c r="I41" s="61"/>
      <c r="J41"/>
    </row>
    <row r="42" spans="1:10" ht="12.75">
      <c r="A42" s="60" t="s">
        <v>69</v>
      </c>
      <c r="B42" s="1">
        <v>6000</v>
      </c>
      <c r="F42" s="11"/>
      <c r="G42" s="11"/>
      <c r="H42" s="22"/>
      <c r="I42" s="61"/>
      <c r="J42"/>
    </row>
    <row r="43" spans="1:10" ht="12.75">
      <c r="A43" s="27" t="s">
        <v>50</v>
      </c>
      <c r="B43" s="1">
        <v>-3000</v>
      </c>
      <c r="F43" s="11"/>
      <c r="G43" s="11"/>
      <c r="H43" s="22"/>
      <c r="I43" s="61"/>
      <c r="J43"/>
    </row>
    <row r="44" spans="1:10" ht="12.75">
      <c r="A44" s="60"/>
      <c r="B44" s="17"/>
      <c r="F44" s="7"/>
      <c r="G44" s="11"/>
      <c r="H44"/>
      <c r="I44"/>
      <c r="J44"/>
    </row>
    <row r="45" spans="1:10" ht="12.75">
      <c r="A45" s="56" t="s">
        <v>11</v>
      </c>
      <c r="B45" s="55">
        <f>SUM(B31:B44)</f>
        <v>107042</v>
      </c>
      <c r="C45" s="4"/>
      <c r="D45" s="4"/>
      <c r="H45"/>
      <c r="I45"/>
      <c r="J45"/>
    </row>
    <row r="46" spans="1:10" ht="12.75">
      <c r="A46" s="3"/>
      <c r="B46" s="4"/>
      <c r="H46"/>
      <c r="I46"/>
      <c r="J46"/>
    </row>
    <row r="47" spans="1:10" ht="12.75">
      <c r="A47" t="s">
        <v>22</v>
      </c>
      <c r="F47"/>
      <c r="G47"/>
      <c r="H47"/>
      <c r="I47"/>
      <c r="J47"/>
    </row>
    <row r="48" spans="1:10" ht="12.75">
      <c r="A48" t="s">
        <v>29</v>
      </c>
      <c r="F48"/>
      <c r="G48"/>
      <c r="H48"/>
      <c r="I48"/>
      <c r="J48"/>
    </row>
    <row r="49" spans="1:10" ht="12.75">
      <c r="A49" s="71" t="s">
        <v>81</v>
      </c>
      <c r="B49" s="1">
        <v>0</v>
      </c>
      <c r="F49"/>
      <c r="G49"/>
      <c r="H49"/>
      <c r="I49"/>
      <c r="J49"/>
    </row>
    <row r="50" spans="1:10" ht="12.75">
      <c r="A50" s="71" t="s">
        <v>82</v>
      </c>
      <c r="B50" s="1">
        <v>3800</v>
      </c>
      <c r="F50"/>
      <c r="G50"/>
      <c r="H50"/>
      <c r="I50"/>
      <c r="J50"/>
    </row>
    <row r="51" spans="1:10" ht="12.75">
      <c r="A51" s="26" t="s">
        <v>56</v>
      </c>
      <c r="B51" s="1">
        <f>MAX(600+8000-0.075*B45,0)</f>
        <v>571.8500000000004</v>
      </c>
      <c r="C51" s="48"/>
      <c r="D51" s="48"/>
      <c r="F51"/>
      <c r="G51"/>
      <c r="H51"/>
      <c r="I51"/>
      <c r="J51"/>
    </row>
    <row r="52" spans="1:8" ht="12.75">
      <c r="A52" s="71" t="s">
        <v>83</v>
      </c>
      <c r="B52" s="1">
        <v>3500</v>
      </c>
      <c r="F52"/>
      <c r="G52"/>
      <c r="H52" s="22"/>
    </row>
    <row r="53" spans="1:12" ht="12.75">
      <c r="A53" s="26" t="s">
        <v>36</v>
      </c>
      <c r="B53" s="42">
        <f>MAX(SUM(B49:B52),$F$37)</f>
        <v>26600</v>
      </c>
      <c r="F53"/>
      <c r="G53"/>
      <c r="H53"/>
      <c r="L53" s="10"/>
    </row>
    <row r="54" spans="1:12" ht="12.75">
      <c r="A54" s="60" t="s">
        <v>84</v>
      </c>
      <c r="B54" s="1">
        <f>B47+B53</f>
        <v>26600</v>
      </c>
      <c r="F54"/>
      <c r="G54"/>
      <c r="H54"/>
      <c r="L54" s="10"/>
    </row>
    <row r="55" spans="1:8" ht="12.75">
      <c r="A55" s="26" t="s">
        <v>12</v>
      </c>
      <c r="B55" s="1">
        <v>0</v>
      </c>
      <c r="F55"/>
      <c r="G55"/>
      <c r="H55"/>
    </row>
    <row r="56" spans="1:8" ht="12.75">
      <c r="A56" s="26" t="s">
        <v>23</v>
      </c>
      <c r="B56" s="1">
        <f>MAX(ROUND(((B45-172050)/2500)+0.99999,0)*0.02*B47,0)</f>
        <v>0</v>
      </c>
      <c r="F56"/>
      <c r="G56"/>
      <c r="H56"/>
    </row>
    <row r="57" spans="1:8" ht="12.75">
      <c r="A57" s="20" t="s">
        <v>13</v>
      </c>
      <c r="B57" s="42">
        <f>B54</f>
        <v>26600</v>
      </c>
      <c r="F57"/>
      <c r="G57"/>
      <c r="H57"/>
    </row>
    <row r="58" spans="6:8" ht="12.75">
      <c r="F58"/>
      <c r="G58"/>
      <c r="H58"/>
    </row>
    <row r="59" spans="1:7" ht="12.75">
      <c r="A59" s="74" t="s">
        <v>14</v>
      </c>
      <c r="B59" s="75">
        <f>B45-B57</f>
        <v>80442</v>
      </c>
      <c r="D59" s="46"/>
      <c r="E59" s="14"/>
      <c r="F59" s="13"/>
      <c r="G59" s="13"/>
    </row>
    <row r="60" spans="1:7" ht="12.75">
      <c r="A60" s="3" t="s">
        <v>24</v>
      </c>
      <c r="B60" s="42">
        <f>1905+0.12*(77400-19050)+0.22*(B59-77400)</f>
        <v>9576.24</v>
      </c>
      <c r="C60" s="59"/>
      <c r="D60" s="47"/>
      <c r="E60" s="13"/>
      <c r="F60" s="72"/>
      <c r="G60" s="72"/>
    </row>
    <row r="61" spans="1:7" ht="12.75">
      <c r="A61" s="3" t="s">
        <v>30</v>
      </c>
      <c r="B61" s="42">
        <f>D15*$F$36</f>
        <v>1763.52</v>
      </c>
      <c r="C61" s="59"/>
      <c r="D61" s="47"/>
      <c r="E61" s="13"/>
      <c r="F61" s="13"/>
      <c r="G61" s="24"/>
    </row>
    <row r="62" spans="1:7" ht="12.75">
      <c r="A62" s="78" t="s">
        <v>86</v>
      </c>
      <c r="B62" s="70">
        <f>B60+B61</f>
        <v>11339.76</v>
      </c>
      <c r="C62" s="59"/>
      <c r="D62" s="47"/>
      <c r="E62" s="13"/>
      <c r="F62" s="13"/>
      <c r="G62" s="24"/>
    </row>
    <row r="63" spans="1:8" ht="12.75">
      <c r="A63" t="s">
        <v>25</v>
      </c>
      <c r="B63" s="1">
        <f>D23</f>
        <v>1310.3999999999999</v>
      </c>
      <c r="C63" s="48"/>
      <c r="D63" s="38"/>
      <c r="E63" s="73"/>
      <c r="F63" s="13"/>
      <c r="G63" s="24"/>
      <c r="H63" s="14"/>
    </row>
    <row r="64" spans="1:8" ht="12.75">
      <c r="A64" s="3" t="s">
        <v>41</v>
      </c>
      <c r="B64" s="42">
        <f>B62-B63</f>
        <v>10029.36</v>
      </c>
      <c r="C64" s="48"/>
      <c r="D64" s="38"/>
      <c r="E64" s="13"/>
      <c r="F64" s="13"/>
      <c r="G64" s="24"/>
      <c r="H64" s="14"/>
    </row>
    <row r="65" spans="1:8" ht="12.75">
      <c r="A65" s="27" t="s">
        <v>43</v>
      </c>
      <c r="B65" s="1">
        <v>0</v>
      </c>
      <c r="C65" s="48"/>
      <c r="D65" s="38"/>
      <c r="E65" s="13"/>
      <c r="F65" s="13"/>
      <c r="G65" s="24"/>
      <c r="H65" s="14"/>
    </row>
    <row r="66" spans="1:8" ht="12.75">
      <c r="A66" s="79" t="s">
        <v>39</v>
      </c>
      <c r="B66" s="59">
        <f>B64-B65</f>
        <v>10029.36</v>
      </c>
      <c r="C66" s="48"/>
      <c r="E66" s="76" t="s">
        <v>85</v>
      </c>
      <c r="F66" s="77">
        <f>ROUND(B62/B59,3)</f>
        <v>0.141</v>
      </c>
      <c r="G66" s="24"/>
      <c r="H66" s="14"/>
    </row>
    <row r="67" spans="1:7" ht="12.75">
      <c r="A67" s="44" t="s">
        <v>78</v>
      </c>
      <c r="B67" s="45">
        <f>ROUND(B66/4,0)</f>
        <v>2507</v>
      </c>
      <c r="D67" s="38"/>
      <c r="E67" s="13"/>
      <c r="F67" s="13"/>
      <c r="G67" s="24"/>
    </row>
    <row r="68" spans="4:8" ht="12.75">
      <c r="D68" s="39"/>
      <c r="E68" s="13"/>
      <c r="F68" s="13"/>
      <c r="G68" s="13"/>
      <c r="H68" s="14"/>
    </row>
    <row r="69" spans="1:4" ht="12.75">
      <c r="A69" s="40"/>
      <c r="D69" s="38"/>
    </row>
    <row r="70" spans="1:8" ht="12.75">
      <c r="A70" s="26"/>
      <c r="B70" s="42"/>
      <c r="D70" s="38"/>
      <c r="H70"/>
    </row>
    <row r="71" spans="1:8" ht="12.75">
      <c r="A71" s="41"/>
      <c r="D71" s="38"/>
      <c r="H71"/>
    </row>
    <row r="72" spans="1:8" ht="12.75">
      <c r="A72" s="26"/>
      <c r="H72"/>
    </row>
    <row r="73" spans="1:8" ht="12.75">
      <c r="A73" s="41"/>
      <c r="H73"/>
    </row>
    <row r="74" spans="1:8" ht="12.75">
      <c r="A74" s="26"/>
      <c r="H74"/>
    </row>
    <row r="75" spans="1:8" ht="12.75">
      <c r="A75" s="41"/>
      <c r="B75" s="37"/>
      <c r="F75"/>
      <c r="G75"/>
      <c r="H75"/>
    </row>
    <row r="76" spans="1:8" ht="12.75">
      <c r="A76" s="26"/>
      <c r="F76"/>
      <c r="G76"/>
      <c r="H76"/>
    </row>
    <row r="77" spans="1:8" ht="12.75">
      <c r="A77" s="41"/>
      <c r="B77" s="42"/>
      <c r="F77"/>
      <c r="G77"/>
      <c r="H77"/>
    </row>
    <row r="78" spans="6:8" ht="12.75">
      <c r="F78"/>
      <c r="G78"/>
      <c r="H78"/>
    </row>
    <row r="79" spans="6:8" ht="12.75">
      <c r="F79"/>
      <c r="G79"/>
      <c r="H79"/>
    </row>
  </sheetData>
  <sheetProtection/>
  <mergeCells count="3">
    <mergeCell ref="A1:F1"/>
    <mergeCell ref="A2:F2"/>
    <mergeCell ref="A3:F3"/>
  </mergeCells>
  <printOptions gridLines="1"/>
  <pageMargins left="0.75" right="0.75" top="1" bottom="1" header="0.5" footer="0.5"/>
  <pageSetup fitToHeight="1" fitToWidth="1" horizontalDpi="600" verticalDpi="600" orientation="portrait" scale="79" r:id="rId1"/>
  <headerFooter alignWithMargins="0">
    <oddHeader>&amp;LTom and Irene Burt&amp;C&amp;A</oddHeader>
    <oddFooter>&amp;L&amp;D&amp;CPage &amp;P&amp;R&amp;T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</cp:lastModifiedBy>
  <cp:lastPrinted>2010-11-04T16:48:34Z</cp:lastPrinted>
  <dcterms:created xsi:type="dcterms:W3CDTF">1996-08-22T13:06:30Z</dcterms:created>
  <dcterms:modified xsi:type="dcterms:W3CDTF">2018-04-18T17:24:41Z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25801c13-5a99-4641-bf97-3215138cc3bc</vt:lpwstr>
  </property>
</Properties>
</file>